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1031" documentId="8_{6BC652DA-87A9-471D-B71C-4A71C6FF36D1}" xr6:coauthVersionLast="47" xr6:coauthVersionMax="47" xr10:uidLastSave="{C018A603-9748-4A44-B307-42F06B8AF37D}"/>
  <bookViews>
    <workbookView xWindow="28680" yWindow="-840" windowWidth="29040" windowHeight="15720" xr2:uid="{911BB1A6-BF45-4C80-B217-662861EE6E42}"/>
  </bookViews>
  <sheets>
    <sheet name="Lisa 7 MKM_toetused" sheetId="1" r:id="rId1"/>
  </sheets>
  <definedNames>
    <definedName name="_xlnm._FilterDatabase" localSheetId="0" hidden="1">'Lisa 7 MKM_toetused'!$A$15:$O$59</definedName>
    <definedName name="_xlnm.Print_Area" localSheetId="0">'Lisa 7 MKM_toetused'!$A$1:$L$40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N20" i="1"/>
  <c r="O18" i="1" l="1"/>
  <c r="L16" i="1"/>
  <c r="M59" i="1" l="1"/>
  <c r="M56" i="1"/>
  <c r="N56" i="1"/>
  <c r="M54" i="1"/>
  <c r="N54" i="1"/>
  <c r="M52" i="1"/>
  <c r="M49" i="1"/>
  <c r="N49" i="1"/>
  <c r="M47" i="1"/>
  <c r="N47" i="1"/>
  <c r="M45" i="1"/>
  <c r="N45" i="1"/>
  <c r="M43" i="1"/>
  <c r="N43" i="1"/>
  <c r="M40" i="1"/>
  <c r="N40" i="1"/>
  <c r="M38" i="1"/>
  <c r="N38" i="1"/>
  <c r="M36" i="1"/>
  <c r="N36" i="1"/>
  <c r="M31" i="1"/>
  <c r="N31" i="1"/>
  <c r="M19" i="1"/>
  <c r="N19" i="1"/>
  <c r="O19" i="1"/>
  <c r="M17" i="1"/>
  <c r="N17" i="1"/>
  <c r="O21" i="1"/>
  <c r="O22" i="1"/>
  <c r="O25" i="1"/>
  <c r="O26" i="1"/>
  <c r="O27" i="1"/>
  <c r="O28" i="1"/>
  <c r="O30" i="1"/>
  <c r="O34" i="1"/>
  <c r="O35" i="1"/>
  <c r="O37" i="1"/>
  <c r="O38" i="1" s="1"/>
  <c r="O39" i="1"/>
  <c r="O40" i="1" s="1"/>
  <c r="O41" i="1"/>
  <c r="O42" i="1"/>
  <c r="O44" i="1"/>
  <c r="O45" i="1" s="1"/>
  <c r="O46" i="1"/>
  <c r="O47" i="1" s="1"/>
  <c r="O48" i="1"/>
  <c r="O49" i="1" s="1"/>
  <c r="O50" i="1"/>
  <c r="O53" i="1"/>
  <c r="O54" i="1" s="1"/>
  <c r="O58" i="1"/>
  <c r="O16" i="1"/>
  <c r="O17" i="1" s="1"/>
  <c r="M7" i="1"/>
  <c r="M8" i="1"/>
  <c r="M9" i="1"/>
  <c r="M10" i="1"/>
  <c r="N57" i="1"/>
  <c r="N59" i="1" s="1"/>
  <c r="L54" i="1"/>
  <c r="N51" i="1"/>
  <c r="N52" i="1" s="1"/>
  <c r="L52" i="1"/>
  <c r="O43" i="1" l="1"/>
  <c r="O51" i="1"/>
  <c r="O52" i="1" s="1"/>
  <c r="N15" i="1"/>
  <c r="M15" i="1"/>
  <c r="M11" i="1"/>
  <c r="L49" i="1"/>
  <c r="L47" i="1"/>
  <c r="L45" i="1"/>
  <c r="L32" i="1" l="1"/>
  <c r="O32" i="1" s="1"/>
  <c r="O36" i="1" s="1"/>
  <c r="L57" i="1" l="1"/>
  <c r="O57" i="1" s="1"/>
  <c r="O59" i="1" s="1"/>
  <c r="L23" i="1"/>
  <c r="O23" i="1" s="1"/>
  <c r="L55" i="1"/>
  <c r="N10" i="1"/>
  <c r="L10" i="1"/>
  <c r="N9" i="1"/>
  <c r="L9" i="1"/>
  <c r="N8" i="1"/>
  <c r="N7" i="1"/>
  <c r="L43" i="1"/>
  <c r="L40" i="1"/>
  <c r="L38" i="1"/>
  <c r="L36" i="1"/>
  <c r="L24" i="1"/>
  <c r="O24" i="1" s="1"/>
  <c r="L20" i="1"/>
  <c r="O20" i="1" s="1"/>
  <c r="O10" i="1"/>
  <c r="L17" i="1"/>
  <c r="L56" i="1" l="1"/>
  <c r="O55" i="1"/>
  <c r="O56" i="1" s="1"/>
  <c r="O9" i="1"/>
  <c r="N11" i="1"/>
  <c r="L19" i="1"/>
  <c r="L7" i="1" l="1"/>
  <c r="L59" i="1"/>
  <c r="L29" i="1"/>
  <c r="O29" i="1" s="1"/>
  <c r="O31" i="1" l="1"/>
  <c r="O15" i="1"/>
  <c r="O7" i="1"/>
  <c r="L8" i="1"/>
  <c r="L11" i="1" s="1"/>
  <c r="L31" i="1"/>
  <c r="L15" i="1" s="1"/>
  <c r="O8" i="1" l="1"/>
  <c r="O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tc={8809F996-0D1D-4AD5-94BE-0A1EF67B3EF0}</author>
    <author>tc={DA6031F9-DA13-4337-A6ED-F894E3849EF5}</author>
  </authors>
  <commentList>
    <comment ref="N26" authorId="0" shapeId="0" xr:uid="{8809F996-0D1D-4AD5-94BE-0A1EF67B3EF0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80 tuh EISi VIKi grandilt MKMi tööjõukuludeks 57 tuh ja maj kuludeks 23 tuh</t>
      </text>
    </comment>
    <comment ref="A44" authorId="1" shapeId="0" xr:uid="{DA6031F9-DA13-4337-A6ED-F894E3849EF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ESA</t>
      </text>
    </comment>
  </commentList>
</comments>
</file>

<file path=xl/sharedStrings.xml><?xml version="1.0" encoding="utf-8"?>
<sst xmlns="http://schemas.openxmlformats.org/spreadsheetml/2006/main" count="308" uniqueCount="145">
  <si>
    <t>Lisa 7</t>
  </si>
  <si>
    <t>Majandus- ja Kommunikatsiooniministeeriumi kindlaksmääratud vahendite kulude eelarvest antavad sihtotstabelised ja tegevustoetused</t>
  </si>
  <si>
    <t>Teadmussiirde programm</t>
  </si>
  <si>
    <t>Ettevõtluskeskkonna programm</t>
  </si>
  <si>
    <t>Tööturuprogramm</t>
  </si>
  <si>
    <t>Soolise võrdsuse ja võrdse kohtlemise programm</t>
  </si>
  <si>
    <t>Kulud toetustele kokku</t>
  </si>
  <si>
    <t>Toetuse saaja/eesmärk</t>
  </si>
  <si>
    <t>Programmi tegevus - kood</t>
  </si>
  <si>
    <t>Programmi tegevus - nimi</t>
  </si>
  <si>
    <t>Teenus</t>
  </si>
  <si>
    <t>Teenus - nimi</t>
  </si>
  <si>
    <t>Eelarve liik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</si>
  <si>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</si>
  <si>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</si>
  <si>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</si>
  <si>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</si>
  <si>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</si>
  <si>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</si>
  <si>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</si>
  <si>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AS Eesti Varude Keskus</t>
  </si>
  <si>
    <t>ATN10-VARUD</t>
  </si>
  <si>
    <t>TIEK010311</t>
  </si>
  <si>
    <t>Riigi tegevusvarude moodustamine, haldamine ning kasutuselevõtmise korraldamine</t>
  </si>
  <si>
    <t>20</t>
  </si>
  <si>
    <t>Antud tegevustoetused</t>
  </si>
  <si>
    <t>AS Eesti Varude Keskus kokku</t>
  </si>
  <si>
    <t>TI020101</t>
  </si>
  <si>
    <t>N10-TEADUSARENDUS</t>
  </si>
  <si>
    <t>TI020102</t>
  </si>
  <si>
    <t>Teadus- ja tehnoloogiamahuka iduettevõtluse arendamine</t>
  </si>
  <si>
    <t>Toetused teadus- ja arendustegevuseks kokku</t>
  </si>
  <si>
    <t>Ettevõtluse ja Innovatsiooni SA</t>
  </si>
  <si>
    <t>8N10-RE00-HALDUS</t>
  </si>
  <si>
    <t>Antud tegevustoetused - halduskulu</t>
  </si>
  <si>
    <t>TIEK0102</t>
  </si>
  <si>
    <t>SE000060</t>
  </si>
  <si>
    <t>RRF - tehniline abi</t>
  </si>
  <si>
    <t>8N10-RE00-05211</t>
  </si>
  <si>
    <t>TIEK0103</t>
  </si>
  <si>
    <t>Tehnoloogia- ja arendusmahukate investeeringute soodustamine</t>
  </si>
  <si>
    <t>IN005001</t>
  </si>
  <si>
    <t>Suurinvestori investeeringutoetus</t>
  </si>
  <si>
    <t>8N10-RE00-VALISINVES</t>
  </si>
  <si>
    <t>8N10-RE00-ERESIDENT, 8N10-RE00-WORKINEST</t>
  </si>
  <si>
    <t>Ettevõtluse ja Innovatsiooni SA kokku</t>
  </si>
  <si>
    <t>AS Metrosert </t>
  </si>
  <si>
    <t>ATN10-METROS</t>
  </si>
  <si>
    <t>AS Metrosert kokku</t>
  </si>
  <si>
    <t>Eesti Standardimis- ja Akrediteerimiskeskus MTÜ</t>
  </si>
  <si>
    <t>ATN10-STANDA</t>
  </si>
  <si>
    <t>Eesti Standardimis- ja Akrediteerimiskeskus MTÜ kokku</t>
  </si>
  <si>
    <t>Tartu linn</t>
  </si>
  <si>
    <t>ATN10-TARTU</t>
  </si>
  <si>
    <t>Tartu linn kokku</t>
  </si>
  <si>
    <t>HE010102</t>
  </si>
  <si>
    <t>Eesti Töötukassa kokku</t>
  </si>
  <si>
    <t>8N10-RE00-03111, wbs:1N10-HMN-SOO</t>
  </si>
  <si>
    <t>ATN10-TOOTUK</t>
  </si>
  <si>
    <t>HE01010201</t>
  </si>
  <si>
    <t>Eesti Töötukassale aktiivsete ja passiivsete tööturumeetmete osutamiseks vahendite andmine</t>
  </si>
  <si>
    <t>Tööhõive toetamine ja areng</t>
  </si>
  <si>
    <t>Konto</t>
  </si>
  <si>
    <t>4500</t>
  </si>
  <si>
    <t>HE090301</t>
  </si>
  <si>
    <t>Soolise võrdsuse ja vähemuste võrdsete võimaluste edendamine</t>
  </si>
  <si>
    <t>HE04010101</t>
  </si>
  <si>
    <t>Soolise võrdsuse valdkonna poliitika kujundamine, koordineerimine ja rakendamine</t>
  </si>
  <si>
    <t>45</t>
  </si>
  <si>
    <t>TIEK0105</t>
  </si>
  <si>
    <t>Ettevõtluskeskkonna ja ettevõtlikkuse edendamine</t>
  </si>
  <si>
    <t>4521</t>
  </si>
  <si>
    <t>Ettevõtete arendustegevuse ja innovatsiooni toetamine</t>
  </si>
  <si>
    <t>TI02010102</t>
  </si>
  <si>
    <t>Ettevõtete TAI teadlikkuse ja arendustegevuse toetamine</t>
  </si>
  <si>
    <t>TIEK010201</t>
  </si>
  <si>
    <t>Targa ettevõtlus- ja tarbimiskeskkonna kujundamine</t>
  </si>
  <si>
    <t>ATN10-METROS, N10-TA-RAKENDUSUURIN</t>
  </si>
  <si>
    <t>Ettevõtete konkurentsivõime ja rahvusvahelistumise toetamine</t>
  </si>
  <si>
    <t>TIEK040101</t>
  </si>
  <si>
    <t>Turismisektorit edendav poliitikakujundus</t>
  </si>
  <si>
    <t>TIEK040102</t>
  </si>
  <si>
    <t>Turismisektori edendamise toetamine</t>
  </si>
  <si>
    <t>TIEK020102</t>
  </si>
  <si>
    <t>Ettevõtete ekspordi toetamine</t>
  </si>
  <si>
    <t>TIEK030102</t>
  </si>
  <si>
    <t>Kapitali kättesaadavuse soodustamise ja välisinvesteeringute kaasamise toetamine</t>
  </si>
  <si>
    <t>4502</t>
  </si>
  <si>
    <t>TIEK010302</t>
  </si>
  <si>
    <t>Kvalifitseeritud tööjõu kättesaadavuse ja rahvusvaheliste ettevõtete Eestisse asumise soodustamine</t>
  </si>
  <si>
    <t>TIEK020202</t>
  </si>
  <si>
    <t>Tööstussektori edendamise toetamine</t>
  </si>
  <si>
    <t>8N10-RE00-RRFKM-EAS</t>
  </si>
  <si>
    <t>TI02040102</t>
  </si>
  <si>
    <t>TA-mahuka iduettevõtluse ökosüsteemi arendamine ja investeerimislahenduste rakendamine</t>
  </si>
  <si>
    <t>N10-TEADUSARENDUS, N10-TEADUSARENDUS_2, N10-TEADUSARENDUS_3, N10-TA-KYBER, NONE</t>
  </si>
  <si>
    <t>2025. aasta riigieelarve seadus (vastu võetud 11.12.2024)</t>
  </si>
  <si>
    <t>Majandus- ja tööstusministri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2025. a eelarvete kinnitamine" juurde</t>
  </si>
  <si>
    <t>Eesti Töötukassa</t>
  </si>
  <si>
    <t>Eraldis tööturuteenuste ja -toetuste sihtkapitali</t>
  </si>
  <si>
    <t>Muud toetused (toetuse saajad selguvad eelarveaasta jooksul taotlusvoorude teel)</t>
  </si>
  <si>
    <t xml:space="preserve">Toetused sotsiaalkaitseministri 06.02.2022 määruse nr 16 „Võrdse kohtlemise ja soolise võrdõiguslikkuse edendamise rahaline toetamine“ alusel </t>
  </si>
  <si>
    <t>Toetused soolise võrdsuse ja vähemuste võrdsete võimaluste edendamiseks kokku</t>
  </si>
  <si>
    <t>Antud tegevuskulude sihtfinantseerimine</t>
  </si>
  <si>
    <t>Antud põhivara sihtfinantseerimine</t>
  </si>
  <si>
    <t>Antud tegevuskulude sihtfin - abikõlbmatu RRFi KM</t>
  </si>
  <si>
    <t>Sisemised muudatused</t>
  </si>
  <si>
    <t>Lõplik eelarve 2025</t>
  </si>
  <si>
    <t>MINISTRI_ LIIGENDUS</t>
  </si>
  <si>
    <t>2025_01</t>
  </si>
  <si>
    <t>8N10-RE00-TURISM, 8N10-RE00-TURISMSF, N10-TURISM, 8N10-RE00-UUSTURG</t>
  </si>
  <si>
    <t>Toetused ettevõtete konkurentsivõime tõstmiseks ja rahvusvahelistumiseks kokku</t>
  </si>
  <si>
    <t>Antud tegevuskulude sihtfin - riiklikud programmid (sh turismi tegevused ja sisenemine uutele turgudele)</t>
  </si>
  <si>
    <t>Antud tegevuskulude sihtfin - riiklikud programmid (VIK)</t>
  </si>
  <si>
    <t>Antud tegevuskulude sihtfin - riiklikud programmid (sh e-residentsus ja Work-in-Estonia)</t>
  </si>
  <si>
    <t>Antud tegevustoetused (metroloogia keskasutuse ning riigietalonide säilitamis- ja arendusteenuse ning nimemärgiste riikliku registri volitatud töötleja ülesannete täitmine)</t>
  </si>
  <si>
    <t>Antud tegevustoetused (teadus- ja arendustegevus - rakendusuuringud)</t>
  </si>
  <si>
    <t>Antud tegevustoetused (teadus- ja arendustegevus - kvanttehnoloogiate instituut)</t>
  </si>
  <si>
    <t>Antud tegevuskulude sihtfinantseerimine (toetuse saajad selguvad eelarveaasta jooksul)</t>
  </si>
  <si>
    <t>Euroopa Kosmose Agentuur</t>
  </si>
  <si>
    <t>N10-TA-ESA-CERN</t>
  </si>
  <si>
    <t>Euroopa Kosmose Agentuur kokku</t>
  </si>
  <si>
    <t>Antud tegevuskulude sihtfinantseerimine - ESA valikprogrammides osalemine</t>
  </si>
  <si>
    <t>Tallinna Tehnikaülikool</t>
  </si>
  <si>
    <t>Tallinna Tehnikaülikool kokku</t>
  </si>
  <si>
    <t>ATN10-TALTEC, N10-TA-E-DIH</t>
  </si>
  <si>
    <t>Antud tegevuskulude sihtfinantseerimine - e-DIH rahastamine AI ja robootikaga seotud uurimis- ja arendustegevuseks</t>
  </si>
  <si>
    <t>Tartu Ülikool</t>
  </si>
  <si>
    <t>Tartu Ülikool kokku</t>
  </si>
  <si>
    <t>ATN10-TY, N10-TA-TEADUSMAH.IDU</t>
  </si>
  <si>
    <t>Antud tegevuskulude sihtfinantseerimine - teadus- ja tehnoloogiamahukate idude kiirendid ja teised tegevused</t>
  </si>
  <si>
    <t>SA Tallinna Teaduspark Tehnopol</t>
  </si>
  <si>
    <t>N10-TA-TEHISINTELLEK, ATN10-TEHNOP</t>
  </si>
  <si>
    <t>N10-TA-TEADUSMAH.IDU, ATN10-TEHNOP</t>
  </si>
  <si>
    <t>SA Tallinna Teaduspark Tehnopol kokku</t>
  </si>
  <si>
    <t>Antud tegevuskulude sihtfinantseerimine - erasektori tehisintellekti pilootprojektid</t>
  </si>
  <si>
    <t>Sihtasutus Tartu Teaduspark</t>
  </si>
  <si>
    <t>Sihtasutus Tartu Teaduspark kokku</t>
  </si>
  <si>
    <t>Antud tegevuskulude sihtfin - riiklikud programmid (arendusvõimekus jm teadus- ja arendustegevuse ja innovatsiooni toetusmeetmed)</t>
  </si>
  <si>
    <t>8N10-RE00-ARENDUSVOI ja kõik TAI toetusmeetmete grandid</t>
  </si>
  <si>
    <t>MKMi 22.01.2025 kk nr 9</t>
  </si>
  <si>
    <t>EELARVE_ ULE</t>
  </si>
  <si>
    <t>IN005000</t>
  </si>
  <si>
    <t>Muud investeeringud</t>
  </si>
  <si>
    <t>Antud põhivara sihtfinantseerimine (teadus- ja arendustegevus - rakendusuuringute keskuse käivitamine)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</si>
</sst>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8"/>
      <name val="Calibri"/>
      <family val="2"/>
      <scheme val="minor"/>
    </font>
    <font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11"/>
      <color indexed="8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24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6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wrapText="1"/>
    </xf>
    <xf numFmtId="3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wrapText="1"/>
    </xf>
    <xf numFmtId="0" fontId="16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0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6" fillId="0" borderId="0" xfId="1" applyNumberFormat="1" applyFont="1" applyAlignment="1">
      <alignment horizontal="right"/>
    </xf>
    <xf numFmtId="0" fontId="2" fillId="0" borderId="6" xfId="0" applyFont="1" applyBorder="1" applyAlignment="1">
      <alignment vertical="center" wrapText="1"/>
    </xf>
    <xf numFmtId="3" fontId="6" fillId="0" borderId="0" xfId="1" applyNumberFormat="1" applyFont="1" applyAlignment="1">
      <alignment horizontal="right" vertical="center" wrapText="1"/>
    </xf>
    <xf numFmtId="3" fontId="6" fillId="0" borderId="0" xfId="1" applyNumberFormat="1" applyFont="1" applyAlignment="1" applyProtection="1">
      <alignment horizontal="right" vertical="center"/>
      <protection hidden="1"/>
    </xf>
    <xf numFmtId="0" fontId="11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quotePrefix="1" applyFont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/>
    </xf>
    <xf numFmtId="0" fontId="14" fillId="0" borderId="1" xfId="0" quotePrefix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 wrapText="1"/>
    </xf>
    <xf numFmtId="4" fontId="4" fillId="3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0" fillId="0" borderId="0" xfId="0" applyNumberFormat="1"/>
    <xf numFmtId="0" fontId="1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 wrapText="1"/>
    </xf>
    <xf numFmtId="0" fontId="23" fillId="4" borderId="4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3" fillId="2" borderId="1" xfId="0" applyFont="1" applyFill="1" applyBorder="1"/>
    <xf numFmtId="0" fontId="14" fillId="0" borderId="1" xfId="0" applyFont="1" applyBorder="1" applyAlignment="1">
      <alignment horizontal="center" vertical="center"/>
    </xf>
    <xf numFmtId="49" fontId="14" fillId="0" borderId="0" xfId="0" applyNumberFormat="1" applyFont="1" applyAlignment="1">
      <alignment vertical="center" wrapText="1"/>
    </xf>
    <xf numFmtId="3" fontId="6" fillId="0" borderId="0" xfId="1" applyNumberFormat="1" applyFont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</cellXfs>
  <cellStyles count="4">
    <cellStyle name="Normaallaad" xfId="0" builtinId="0"/>
    <cellStyle name="Normaallaad 10" xfId="3" xr:uid="{CEB358A1-7EE1-45AD-802D-CC9EBFCFAAF9}"/>
    <cellStyle name="Normaallaad 2" xfId="1" xr:uid="{68529AA7-28B5-44F1-A5C6-F2AD667E0CEB}"/>
    <cellStyle name="Normaallaad 4" xfId="2" xr:uid="{5104368E-7262-4C13-9D11-921B34151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a Fazijev" id="{30C4F1B8-61F1-49BB-8AA1-6966FC2F9635}" userId="S-1-5-21-2009196460-3307222142-1538888278-12158" providerId="AD"/>
  <person displayName="Helena Siemann - MKM" id="{9ACAEDCB-6406-4653-AEB9-C8DEC1FEDD30}" userId="S::Helena.Siemann@mkm.ee::bfb8c127-faf0-4904-8e5a-85d9b418a8d8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6" dT="2025-01-20T09:19:54.74" personId="{9ACAEDCB-6406-4653-AEB9-C8DEC1FEDD30}" id="{8809F996-0D1D-4AD5-94BE-0A1EF67B3EF0}">
    <text>80 tuh EISi VIKi grandilt MKMi tööjõukuludeks 57 tuh ja maj kuludeks 23 tuh</text>
  </threadedComment>
  <threadedComment ref="A44" dT="2024-02-02T09:28:20.72" personId="{30C4F1B8-61F1-49BB-8AA1-6966FC2F9635}" id="{DA6031F9-DA13-4337-A6ED-F894E3849EF5}">
    <text>ESA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C644-7FEA-4119-BB74-5BC0BECC31FA}">
  <sheetPr>
    <pageSetUpPr fitToPage="1"/>
  </sheetPr>
  <dimension ref="A1:P60"/>
  <sheetViews>
    <sheetView tabSelected="1" topLeftCell="A35" zoomScale="80" zoomScaleNormal="90" workbookViewId="0">
      <selection activeCell="Z20" sqref="Z20"/>
    </sheetView>
  </sheetViews>
  <sheetFormatPr defaultRowHeight="15" outlineLevelCol="1" x14ac:dyDescent="0.25"/>
  <cols>
    <col min="1" max="1" width="25.85546875" customWidth="1"/>
    <col min="2" max="2" width="26.42578125" style="32" hidden="1" customWidth="1" outlineLevel="1"/>
    <col min="3" max="3" width="10.42578125" customWidth="1" collapsed="1"/>
    <col min="4" max="4" width="24.28515625" style="6" customWidth="1"/>
    <col min="5" max="5" width="12" style="6" hidden="1" customWidth="1" outlineLevel="1"/>
    <col min="6" max="6" width="25.42578125" style="6" hidden="1" customWidth="1" outlineLevel="1"/>
    <col min="7" max="7" width="9.7109375" bestFit="1" customWidth="1" collapsed="1"/>
    <col min="8" max="8" width="9.42578125" customWidth="1"/>
    <col min="9" max="9" width="18" style="6" customWidth="1"/>
    <col min="10" max="10" width="7.85546875" customWidth="1"/>
    <col min="11" max="11" width="32.7109375" customWidth="1"/>
    <col min="12" max="12" width="13.7109375" customWidth="1" outlineLevel="1"/>
    <col min="13" max="13" width="10.85546875" customWidth="1" outlineLevel="1"/>
    <col min="14" max="14" width="15.140625" style="82" customWidth="1"/>
    <col min="15" max="15" width="11.85546875" customWidth="1"/>
    <col min="16" max="16" width="10.42578125" customWidth="1"/>
  </cols>
  <sheetData>
    <row r="1" spans="1:15" s="1" customFormat="1" ht="12.75" x14ac:dyDescent="0.2">
      <c r="B1" s="32"/>
      <c r="D1" s="2"/>
      <c r="E1" s="2"/>
      <c r="F1" s="2"/>
      <c r="I1" s="2"/>
      <c r="N1" s="76"/>
      <c r="O1" s="3" t="s">
        <v>0</v>
      </c>
    </row>
    <row r="2" spans="1:15" s="22" customFormat="1" ht="16.5" customHeight="1" x14ac:dyDescent="0.25">
      <c r="B2" s="52"/>
      <c r="D2" s="54"/>
      <c r="E2" s="54"/>
      <c r="F2" s="54"/>
      <c r="J2" s="72"/>
      <c r="K2" s="108" t="s">
        <v>97</v>
      </c>
      <c r="L2" s="109"/>
      <c r="M2" s="109"/>
      <c r="N2" s="109"/>
      <c r="O2" s="109"/>
    </row>
    <row r="3" spans="1:15" s="22" customFormat="1" ht="16.5" customHeight="1" x14ac:dyDescent="0.25">
      <c r="B3" s="52"/>
      <c r="D3" s="54"/>
      <c r="E3" s="54"/>
      <c r="F3" s="54"/>
      <c r="I3" s="72"/>
      <c r="J3" s="72"/>
      <c r="K3" s="109"/>
      <c r="L3" s="109"/>
      <c r="M3" s="109"/>
      <c r="N3" s="109"/>
      <c r="O3" s="109"/>
    </row>
    <row r="4" spans="1:15" s="1" customFormat="1" ht="12.75" x14ac:dyDescent="0.2">
      <c r="B4" s="32"/>
      <c r="D4" s="2"/>
      <c r="E4" s="2"/>
      <c r="F4" s="2"/>
      <c r="I4" s="2"/>
      <c r="N4" s="76"/>
    </row>
    <row r="5" spans="1:15" s="22" customFormat="1" ht="12.75" x14ac:dyDescent="0.25">
      <c r="A5" s="102" t="s">
        <v>1</v>
      </c>
      <c r="B5" s="103"/>
      <c r="C5" s="103"/>
      <c r="D5" s="103"/>
      <c r="E5" s="103"/>
      <c r="F5" s="103"/>
      <c r="G5" s="103"/>
      <c r="I5" s="54"/>
      <c r="N5" s="77"/>
    </row>
    <row r="6" spans="1:15" s="19" customFormat="1" ht="14.25" customHeight="1" x14ac:dyDescent="0.25">
      <c r="A6" s="103"/>
      <c r="B6" s="103"/>
      <c r="C6" s="103"/>
      <c r="D6" s="103"/>
      <c r="E6" s="103"/>
      <c r="F6" s="103"/>
      <c r="G6" s="103"/>
      <c r="I6" s="53"/>
      <c r="K6" s="41"/>
      <c r="L6" s="42"/>
      <c r="M6" s="42"/>
      <c r="N6" s="78"/>
    </row>
    <row r="7" spans="1:15" x14ac:dyDescent="0.25">
      <c r="K7" s="4" t="s">
        <v>2</v>
      </c>
      <c r="L7" s="5">
        <f>SUMIF($C$16:$C$59,"TI02*",L$16:L$59)</f>
        <v>-63107685.749864005</v>
      </c>
      <c r="M7" s="5">
        <f>SUMIF($C$16:$C$59,"TI02*",M$16:M$59)</f>
        <v>0</v>
      </c>
      <c r="N7" s="5">
        <f>SUMIF($C$16:$C$59,"TI02*",N$16:N$59)</f>
        <v>0</v>
      </c>
      <c r="O7" s="5">
        <f>SUMIF($C$16:$C$59,"TI02*",O$16:O$59)</f>
        <v>-63107685.749864005</v>
      </c>
    </row>
    <row r="8" spans="1:15" x14ac:dyDescent="0.25">
      <c r="D8" s="1"/>
      <c r="E8" s="1"/>
      <c r="F8" s="2"/>
      <c r="K8" s="4" t="s">
        <v>3</v>
      </c>
      <c r="L8" s="5">
        <f>SUMIF($C$16:$C$59,"TIEK*",L$16:L$59)</f>
        <v>-40805024.79959999</v>
      </c>
      <c r="M8" s="5">
        <f>SUMIF($C$16:$C$59,"TIEK*",M$16:M$59)</f>
        <v>-1500000</v>
      </c>
      <c r="N8" s="5">
        <f>SUMIF($C$16:$C$59,"TIEK*",N$16:N$59)</f>
        <v>80000</v>
      </c>
      <c r="O8" s="5">
        <f>SUMIF($C$16:$C$59,"TIEK*",O$16:O$59)</f>
        <v>-42225024.799600005</v>
      </c>
    </row>
    <row r="9" spans="1:15" x14ac:dyDescent="0.25">
      <c r="I9" s="101" t="s">
        <v>4</v>
      </c>
      <c r="J9" s="101"/>
      <c r="K9" s="101"/>
      <c r="L9" s="5">
        <f>SUMIF($C$16:$C$59,"HE01*",L$16:L$59)</f>
        <v>-1</v>
      </c>
      <c r="M9" s="5">
        <f>SUMIF($C$16:$C$59,"HE01*",M$16:M$59)</f>
        <v>0</v>
      </c>
      <c r="N9" s="5">
        <f>SUMIF($C$16:$C$59,"HE01*",N$16:N$59)</f>
        <v>0</v>
      </c>
      <c r="O9" s="5">
        <f>SUMIF($C$16:$C$59,"HE01*",O$16:O$59)</f>
        <v>-1</v>
      </c>
    </row>
    <row r="10" spans="1:15" x14ac:dyDescent="0.25">
      <c r="I10" s="4"/>
      <c r="J10" s="4"/>
      <c r="K10" s="39" t="s">
        <v>5</v>
      </c>
      <c r="L10" s="5">
        <f>SUMIF($C$16:$C$59,"HE09*",L$16:L$59)</f>
        <v>-435754</v>
      </c>
      <c r="M10" s="5">
        <f>SUMIF($C$16:$C$59,"HE09*",M$16:M$59)</f>
        <v>0</v>
      </c>
      <c r="N10" s="5">
        <f>SUMIF($C$16:$C$59,"HE09*",N$16:N$59)</f>
        <v>0</v>
      </c>
      <c r="O10" s="5">
        <f>SUMIF($C$16:$C$59,"HE09*",O$16:O$59)</f>
        <v>-435754</v>
      </c>
    </row>
    <row r="11" spans="1:15" x14ac:dyDescent="0.25">
      <c r="K11" s="7" t="s">
        <v>6</v>
      </c>
      <c r="L11" s="8">
        <f>SUM(L7:L10)</f>
        <v>-104348465.54946399</v>
      </c>
      <c r="M11" s="8">
        <f>SUM(M7:M10)</f>
        <v>-1500000</v>
      </c>
      <c r="N11" s="8">
        <f t="shared" ref="N11:O11" si="0">SUM(N7:N10)</f>
        <v>80000</v>
      </c>
      <c r="O11" s="8">
        <f t="shared" si="0"/>
        <v>-105768465.54946402</v>
      </c>
    </row>
    <row r="12" spans="1:15" s="19" customFormat="1" ht="66.599999999999994" customHeight="1" x14ac:dyDescent="0.25">
      <c r="A12" s="20" t="s">
        <v>7</v>
      </c>
      <c r="B12" s="33"/>
      <c r="C12" s="20" t="s">
        <v>8</v>
      </c>
      <c r="D12" s="20" t="s">
        <v>9</v>
      </c>
      <c r="E12" s="20" t="s">
        <v>10</v>
      </c>
      <c r="F12" s="20" t="s">
        <v>11</v>
      </c>
      <c r="G12" s="21" t="s">
        <v>12</v>
      </c>
      <c r="H12" s="20" t="s">
        <v>13</v>
      </c>
      <c r="I12" s="20" t="s">
        <v>14</v>
      </c>
      <c r="J12" s="20" t="s">
        <v>62</v>
      </c>
      <c r="K12" s="20" t="s">
        <v>15</v>
      </c>
      <c r="L12" s="62" t="s">
        <v>96</v>
      </c>
      <c r="M12" s="73" t="s">
        <v>140</v>
      </c>
      <c r="N12" s="79" t="s">
        <v>106</v>
      </c>
      <c r="O12" s="73" t="s">
        <v>107</v>
      </c>
    </row>
    <row r="13" spans="1:15" s="19" customFormat="1" ht="25.5" x14ac:dyDescent="0.25">
      <c r="A13" s="13"/>
      <c r="B13" s="34"/>
      <c r="D13" s="27"/>
      <c r="E13" s="27"/>
      <c r="F13" s="27"/>
      <c r="G13" s="28"/>
      <c r="H13" s="13"/>
      <c r="I13" s="16"/>
      <c r="J13" s="16"/>
      <c r="K13" s="17" t="s">
        <v>16</v>
      </c>
      <c r="L13" s="29" t="s">
        <v>17</v>
      </c>
      <c r="M13" s="74" t="s">
        <v>141</v>
      </c>
      <c r="N13" s="74" t="s">
        <v>108</v>
      </c>
      <c r="O13" s="13"/>
    </row>
    <row r="14" spans="1:15" s="19" customFormat="1" ht="19.149999999999999" customHeight="1" x14ac:dyDescent="0.2">
      <c r="A14" s="13"/>
      <c r="B14" s="35"/>
      <c r="C14" s="13" t="s">
        <v>18</v>
      </c>
      <c r="D14" s="14" t="s">
        <v>18</v>
      </c>
      <c r="E14" s="14"/>
      <c r="F14" s="14"/>
      <c r="G14" s="15" t="s">
        <v>18</v>
      </c>
      <c r="H14" s="13"/>
      <c r="I14" s="16"/>
      <c r="J14" s="16"/>
      <c r="K14" s="17" t="s">
        <v>19</v>
      </c>
      <c r="L14" s="18">
        <v>2025</v>
      </c>
      <c r="M14" s="99" t="s">
        <v>109</v>
      </c>
      <c r="N14" s="80" t="s">
        <v>109</v>
      </c>
      <c r="O14" s="13"/>
    </row>
    <row r="15" spans="1:15" s="22" customFormat="1" ht="12.75" x14ac:dyDescent="0.25">
      <c r="A15" s="43"/>
      <c r="B15" s="44"/>
      <c r="C15" s="36"/>
      <c r="D15" s="37"/>
      <c r="E15" s="37"/>
      <c r="F15" s="37"/>
      <c r="G15" s="36"/>
      <c r="H15" s="36"/>
      <c r="I15" s="37"/>
      <c r="J15" s="36"/>
      <c r="K15" s="36"/>
      <c r="L15" s="45">
        <f>+SUBTOTAL(9,L16:L59)</f>
        <v>-104348465.549464</v>
      </c>
      <c r="M15" s="45">
        <f>+SUBTOTAL(9,M16:M59)</f>
        <v>-1500000</v>
      </c>
      <c r="N15" s="45">
        <f>+SUBTOTAL(9,N16:N59)</f>
        <v>80000</v>
      </c>
      <c r="O15" s="45">
        <f>+SUBTOTAL(9,O16:O59)</f>
        <v>-105768465.549464</v>
      </c>
    </row>
    <row r="16" spans="1:15" s="19" customFormat="1" ht="63.75" x14ac:dyDescent="0.25">
      <c r="A16" s="10" t="s">
        <v>101</v>
      </c>
      <c r="B16" s="58" t="s">
        <v>57</v>
      </c>
      <c r="C16" s="11" t="s">
        <v>64</v>
      </c>
      <c r="D16" s="10" t="s">
        <v>65</v>
      </c>
      <c r="E16" s="10" t="s">
        <v>66</v>
      </c>
      <c r="F16" s="10" t="s">
        <v>67</v>
      </c>
      <c r="G16" s="11" t="s">
        <v>24</v>
      </c>
      <c r="H16" s="11"/>
      <c r="I16" s="10"/>
      <c r="J16" s="57" t="s">
        <v>68</v>
      </c>
      <c r="K16" s="10" t="s">
        <v>100</v>
      </c>
      <c r="L16" s="12">
        <f>-261452-174302</f>
        <v>-435754</v>
      </c>
      <c r="M16" s="12"/>
      <c r="N16" s="75"/>
      <c r="O16" s="12">
        <f>+L16+M16+N16</f>
        <v>-435754</v>
      </c>
    </row>
    <row r="17" spans="1:16" s="64" customFormat="1" x14ac:dyDescent="0.25">
      <c r="A17" s="63" t="s">
        <v>102</v>
      </c>
      <c r="B17" s="65"/>
      <c r="C17" s="63"/>
      <c r="D17" s="66"/>
      <c r="E17" s="66"/>
      <c r="F17" s="66"/>
      <c r="G17" s="63"/>
      <c r="H17" s="63"/>
      <c r="I17" s="66"/>
      <c r="J17" s="67"/>
      <c r="K17" s="66"/>
      <c r="L17" s="68">
        <f>+SUBTOTAL(9,L16:L16)</f>
        <v>-435754</v>
      </c>
      <c r="M17" s="68">
        <f>+SUBTOTAL(9,M16:M16)</f>
        <v>0</v>
      </c>
      <c r="N17" s="68">
        <f>+SUBTOTAL(9,N16:N16)</f>
        <v>0</v>
      </c>
      <c r="O17" s="68">
        <f>+SUBTOTAL(9,O16:O16)</f>
        <v>-435754</v>
      </c>
    </row>
    <row r="18" spans="1:16" s="23" customFormat="1" ht="51" x14ac:dyDescent="0.25">
      <c r="A18" s="26" t="s">
        <v>98</v>
      </c>
      <c r="B18" s="34" t="s">
        <v>58</v>
      </c>
      <c r="C18" s="11" t="s">
        <v>55</v>
      </c>
      <c r="D18" s="10" t="s">
        <v>61</v>
      </c>
      <c r="E18" s="10" t="s">
        <v>59</v>
      </c>
      <c r="F18" s="10" t="s">
        <v>60</v>
      </c>
      <c r="G18" s="55" t="s">
        <v>24</v>
      </c>
      <c r="H18" s="11"/>
      <c r="I18" s="10"/>
      <c r="J18" s="11" t="s">
        <v>63</v>
      </c>
      <c r="K18" s="10" t="s">
        <v>99</v>
      </c>
      <c r="L18" s="12">
        <v>-1</v>
      </c>
      <c r="M18" s="12"/>
      <c r="N18" s="81"/>
      <c r="O18" s="12">
        <f>+L18+M18+N18</f>
        <v>-1</v>
      </c>
    </row>
    <row r="19" spans="1:16" s="22" customFormat="1" ht="12.75" x14ac:dyDescent="0.25">
      <c r="A19" s="63" t="s">
        <v>56</v>
      </c>
      <c r="B19" s="37"/>
      <c r="C19" s="36"/>
      <c r="D19" s="37"/>
      <c r="E19" s="37"/>
      <c r="F19" s="37"/>
      <c r="G19" s="36"/>
      <c r="H19" s="36"/>
      <c r="I19" s="37"/>
      <c r="J19" s="36"/>
      <c r="K19" s="36"/>
      <c r="L19" s="38">
        <f>+SUBTOTAL(9,L18)</f>
        <v>-1</v>
      </c>
      <c r="M19" s="38">
        <f t="shared" ref="M19:O19" si="1">+SUBTOTAL(9,M18)</f>
        <v>0</v>
      </c>
      <c r="N19" s="38">
        <f t="shared" si="1"/>
        <v>0</v>
      </c>
      <c r="O19" s="38">
        <f t="shared" si="1"/>
        <v>-1</v>
      </c>
    </row>
    <row r="20" spans="1:16" s="22" customFormat="1" ht="51" x14ac:dyDescent="0.25">
      <c r="A20" s="11" t="s">
        <v>32</v>
      </c>
      <c r="B20" s="59" t="s">
        <v>139</v>
      </c>
      <c r="C20" s="11" t="s">
        <v>27</v>
      </c>
      <c r="D20" s="10" t="s">
        <v>72</v>
      </c>
      <c r="E20" s="10" t="s">
        <v>73</v>
      </c>
      <c r="F20" s="10" t="s">
        <v>74</v>
      </c>
      <c r="G20" s="11" t="s">
        <v>24</v>
      </c>
      <c r="H20" s="11"/>
      <c r="I20" s="10"/>
      <c r="J20" s="55" t="s">
        <v>63</v>
      </c>
      <c r="K20" s="10" t="s">
        <v>138</v>
      </c>
      <c r="L20" s="25">
        <f>-15458000+14920000</f>
        <v>-538000</v>
      </c>
      <c r="M20" s="25"/>
      <c r="N20" s="12">
        <f>-50826233+3000000</f>
        <v>-47826233</v>
      </c>
      <c r="O20" s="12">
        <f t="shared" ref="O20:O58" si="2">+L20+M20+N20</f>
        <v>-48364233</v>
      </c>
    </row>
    <row r="21" spans="1:16" s="22" customFormat="1" ht="25.5" x14ac:dyDescent="0.25">
      <c r="A21" s="11"/>
      <c r="B21" s="58" t="s">
        <v>33</v>
      </c>
      <c r="C21" s="11" t="s">
        <v>27</v>
      </c>
      <c r="D21" s="10" t="s">
        <v>72</v>
      </c>
      <c r="E21" s="10" t="s">
        <v>73</v>
      </c>
      <c r="F21" s="10" t="s">
        <v>74</v>
      </c>
      <c r="G21" s="11" t="s">
        <v>24</v>
      </c>
      <c r="H21" s="11"/>
      <c r="I21" s="10"/>
      <c r="J21" s="56" t="s">
        <v>71</v>
      </c>
      <c r="K21" s="40" t="s">
        <v>34</v>
      </c>
      <c r="L21" s="12">
        <v>-999636.2</v>
      </c>
      <c r="M21" s="12"/>
      <c r="N21" s="12"/>
      <c r="O21" s="12">
        <f t="shared" si="2"/>
        <v>-999636.2</v>
      </c>
      <c r="P21" s="77"/>
    </row>
    <row r="22" spans="1:16" s="22" customFormat="1" ht="38.25" x14ac:dyDescent="0.25">
      <c r="A22" s="11"/>
      <c r="B22" s="58" t="s">
        <v>92</v>
      </c>
      <c r="C22" s="11" t="s">
        <v>35</v>
      </c>
      <c r="D22" s="10" t="s">
        <v>78</v>
      </c>
      <c r="E22" s="10" t="s">
        <v>90</v>
      </c>
      <c r="F22" s="10" t="s">
        <v>91</v>
      </c>
      <c r="G22" s="11" t="s">
        <v>24</v>
      </c>
      <c r="H22" s="11" t="s">
        <v>36</v>
      </c>
      <c r="I22" s="10" t="s">
        <v>37</v>
      </c>
      <c r="J22" s="11" t="s">
        <v>63</v>
      </c>
      <c r="K22" s="10" t="s">
        <v>105</v>
      </c>
      <c r="L22" s="12">
        <v>-13997.34</v>
      </c>
      <c r="M22" s="12"/>
      <c r="N22" s="12"/>
      <c r="O22" s="12">
        <f t="shared" si="2"/>
        <v>-13997.34</v>
      </c>
    </row>
    <row r="23" spans="1:16" s="22" customFormat="1" ht="38.25" x14ac:dyDescent="0.25">
      <c r="A23" s="11"/>
      <c r="B23" s="58" t="s">
        <v>110</v>
      </c>
      <c r="C23" s="11" t="s">
        <v>35</v>
      </c>
      <c r="D23" s="10" t="s">
        <v>78</v>
      </c>
      <c r="E23" s="10" t="s">
        <v>81</v>
      </c>
      <c r="F23" s="10" t="s">
        <v>82</v>
      </c>
      <c r="G23" s="11" t="s">
        <v>24</v>
      </c>
      <c r="H23" s="11"/>
      <c r="I23" s="10"/>
      <c r="J23" s="55" t="s">
        <v>63</v>
      </c>
      <c r="K23" s="10" t="s">
        <v>112</v>
      </c>
      <c r="L23" s="12">
        <f>-9900113-471996-248899</f>
        <v>-10621008</v>
      </c>
      <c r="M23" s="12"/>
      <c r="N23" s="12"/>
      <c r="O23" s="12">
        <f t="shared" si="2"/>
        <v>-10621008</v>
      </c>
    </row>
    <row r="24" spans="1:16" s="22" customFormat="1" ht="38.25" x14ac:dyDescent="0.25">
      <c r="A24" s="11"/>
      <c r="B24" s="58" t="s">
        <v>33</v>
      </c>
      <c r="C24" s="11" t="s">
        <v>35</v>
      </c>
      <c r="D24" s="10" t="s">
        <v>78</v>
      </c>
      <c r="E24" s="10" t="s">
        <v>83</v>
      </c>
      <c r="F24" s="10" t="s">
        <v>84</v>
      </c>
      <c r="G24" s="11" t="s">
        <v>24</v>
      </c>
      <c r="H24" s="11" t="s">
        <v>18</v>
      </c>
      <c r="I24" s="10" t="s">
        <v>18</v>
      </c>
      <c r="J24" s="55" t="s">
        <v>71</v>
      </c>
      <c r="K24" s="10" t="s">
        <v>34</v>
      </c>
      <c r="L24" s="12">
        <f>+(-999636.2)*2</f>
        <v>-1999272.4</v>
      </c>
      <c r="M24" s="12"/>
      <c r="N24" s="12"/>
      <c r="O24" s="12">
        <f t="shared" si="2"/>
        <v>-1999272.4</v>
      </c>
    </row>
    <row r="25" spans="1:16" s="22" customFormat="1" ht="51" x14ac:dyDescent="0.25">
      <c r="A25" s="11"/>
      <c r="B25" s="58" t="s">
        <v>38</v>
      </c>
      <c r="C25" s="11" t="s">
        <v>39</v>
      </c>
      <c r="D25" s="10" t="s">
        <v>40</v>
      </c>
      <c r="E25" s="10" t="s">
        <v>85</v>
      </c>
      <c r="F25" s="10" t="s">
        <v>86</v>
      </c>
      <c r="G25" s="11" t="s">
        <v>24</v>
      </c>
      <c r="H25" s="11" t="s">
        <v>41</v>
      </c>
      <c r="I25" s="10" t="s">
        <v>42</v>
      </c>
      <c r="J25" s="55" t="s">
        <v>87</v>
      </c>
      <c r="K25" s="71" t="s">
        <v>104</v>
      </c>
      <c r="L25" s="12">
        <v>-1299999.9998999999</v>
      </c>
      <c r="M25" s="12">
        <v>-1500000</v>
      </c>
      <c r="N25" s="12"/>
      <c r="O25" s="12">
        <f t="shared" si="2"/>
        <v>-2799999.9999000002</v>
      </c>
    </row>
    <row r="26" spans="1:16" s="22" customFormat="1" ht="42.75" customHeight="1" x14ac:dyDescent="0.25">
      <c r="A26" s="11"/>
      <c r="B26" s="58" t="s">
        <v>43</v>
      </c>
      <c r="C26" s="11" t="s">
        <v>39</v>
      </c>
      <c r="D26" s="10" t="s">
        <v>40</v>
      </c>
      <c r="E26" s="10" t="s">
        <v>85</v>
      </c>
      <c r="F26" s="10" t="s">
        <v>86</v>
      </c>
      <c r="G26" s="11" t="s">
        <v>24</v>
      </c>
      <c r="H26" s="11"/>
      <c r="I26" s="10"/>
      <c r="J26" s="11" t="s">
        <v>63</v>
      </c>
      <c r="K26" s="10" t="s">
        <v>113</v>
      </c>
      <c r="L26" s="12">
        <v>-5383981.9999000002</v>
      </c>
      <c r="M26" s="12"/>
      <c r="N26" s="25">
        <v>80000</v>
      </c>
      <c r="O26" s="12">
        <f t="shared" si="2"/>
        <v>-5303981.9999000002</v>
      </c>
    </row>
    <row r="27" spans="1:16" s="22" customFormat="1" ht="39" customHeight="1" x14ac:dyDescent="0.25">
      <c r="A27" s="11"/>
      <c r="B27" s="58" t="s">
        <v>33</v>
      </c>
      <c r="C27" s="11" t="s">
        <v>39</v>
      </c>
      <c r="D27" s="10" t="s">
        <v>40</v>
      </c>
      <c r="E27" s="10" t="s">
        <v>85</v>
      </c>
      <c r="F27" s="10" t="s">
        <v>86</v>
      </c>
      <c r="G27" s="11" t="s">
        <v>24</v>
      </c>
      <c r="H27" s="11"/>
      <c r="I27" s="10"/>
      <c r="J27" s="11" t="s">
        <v>71</v>
      </c>
      <c r="K27" s="10" t="s">
        <v>34</v>
      </c>
      <c r="L27" s="12">
        <v>-999636.2</v>
      </c>
      <c r="M27" s="12"/>
      <c r="N27" s="12"/>
      <c r="O27" s="12">
        <f t="shared" si="2"/>
        <v>-999636.2</v>
      </c>
    </row>
    <row r="28" spans="1:16" s="22" customFormat="1" ht="29.25" customHeight="1" x14ac:dyDescent="0.25">
      <c r="A28" s="11"/>
      <c r="B28" s="58" t="s">
        <v>92</v>
      </c>
      <c r="C28" s="11" t="s">
        <v>69</v>
      </c>
      <c r="D28" s="10" t="s">
        <v>70</v>
      </c>
      <c r="E28" s="10" t="s">
        <v>75</v>
      </c>
      <c r="F28" s="10" t="s">
        <v>76</v>
      </c>
      <c r="G28" s="11" t="s">
        <v>24</v>
      </c>
      <c r="H28" s="11" t="s">
        <v>36</v>
      </c>
      <c r="I28" s="10" t="s">
        <v>37</v>
      </c>
      <c r="J28" s="11" t="s">
        <v>63</v>
      </c>
      <c r="K28" s="10" t="s">
        <v>105</v>
      </c>
      <c r="L28" s="12">
        <v>-492.66</v>
      </c>
      <c r="M28" s="12"/>
      <c r="N28" s="12"/>
      <c r="O28" s="12">
        <f t="shared" si="2"/>
        <v>-492.66</v>
      </c>
    </row>
    <row r="29" spans="1:16" s="22" customFormat="1" ht="40.5" customHeight="1" x14ac:dyDescent="0.25">
      <c r="A29" s="11"/>
      <c r="B29" s="58" t="s">
        <v>44</v>
      </c>
      <c r="C29" s="11" t="s">
        <v>69</v>
      </c>
      <c r="D29" s="10" t="s">
        <v>70</v>
      </c>
      <c r="E29" s="10" t="s">
        <v>88</v>
      </c>
      <c r="F29" s="10" t="s">
        <v>89</v>
      </c>
      <c r="G29" s="11" t="s">
        <v>24</v>
      </c>
      <c r="H29" s="11"/>
      <c r="I29" s="10"/>
      <c r="J29" s="11" t="s">
        <v>63</v>
      </c>
      <c r="K29" s="10" t="s">
        <v>114</v>
      </c>
      <c r="L29" s="12">
        <f>-10450000-1420000</f>
        <v>-11870000</v>
      </c>
      <c r="M29" s="12"/>
      <c r="N29" s="12"/>
      <c r="O29" s="12">
        <f t="shared" si="2"/>
        <v>-11870000</v>
      </c>
    </row>
    <row r="30" spans="1:16" s="22" customFormat="1" ht="34.5" customHeight="1" x14ac:dyDescent="0.25">
      <c r="A30" s="11"/>
      <c r="B30" s="58" t="s">
        <v>33</v>
      </c>
      <c r="C30" s="11" t="s">
        <v>69</v>
      </c>
      <c r="D30" s="10" t="s">
        <v>70</v>
      </c>
      <c r="E30" s="10" t="s">
        <v>88</v>
      </c>
      <c r="F30" s="10" t="s">
        <v>89</v>
      </c>
      <c r="G30" s="11" t="s">
        <v>24</v>
      </c>
      <c r="H30" s="11"/>
      <c r="I30" s="10"/>
      <c r="J30" s="11" t="s">
        <v>71</v>
      </c>
      <c r="K30" s="10" t="s">
        <v>34</v>
      </c>
      <c r="L30" s="12">
        <v>-999636.2</v>
      </c>
      <c r="M30" s="12"/>
      <c r="N30" s="12"/>
      <c r="O30" s="12">
        <f t="shared" si="2"/>
        <v>-999636.2</v>
      </c>
    </row>
    <row r="31" spans="1:16" s="23" customFormat="1" ht="12.75" x14ac:dyDescent="0.25">
      <c r="A31" s="49" t="s">
        <v>45</v>
      </c>
      <c r="B31" s="48"/>
      <c r="C31" s="48"/>
      <c r="D31" s="37"/>
      <c r="E31" s="37"/>
      <c r="F31" s="37"/>
      <c r="G31" s="36"/>
      <c r="H31" s="36"/>
      <c r="I31" s="37"/>
      <c r="J31" s="36"/>
      <c r="K31" s="36"/>
      <c r="L31" s="38">
        <f>+SUBTOTAL(9,L20:L30)</f>
        <v>-34725660.999800004</v>
      </c>
      <c r="M31" s="38">
        <f t="shared" ref="M31:O31" si="3">+SUBTOTAL(9,M20:M30)</f>
        <v>-1500000</v>
      </c>
      <c r="N31" s="38">
        <f t="shared" si="3"/>
        <v>-47746233</v>
      </c>
      <c r="O31" s="38">
        <f t="shared" si="3"/>
        <v>-83971893.999800012</v>
      </c>
    </row>
    <row r="32" spans="1:16" s="31" customFormat="1" ht="30.95" customHeight="1" x14ac:dyDescent="0.25">
      <c r="A32" s="26" t="s">
        <v>46</v>
      </c>
      <c r="B32" s="34" t="s">
        <v>77</v>
      </c>
      <c r="C32" s="26" t="s">
        <v>27</v>
      </c>
      <c r="D32" s="24" t="s">
        <v>72</v>
      </c>
      <c r="E32" s="24" t="s">
        <v>73</v>
      </c>
      <c r="F32" s="24" t="s">
        <v>74</v>
      </c>
      <c r="G32" s="26" t="s">
        <v>24</v>
      </c>
      <c r="H32" s="26" t="s">
        <v>18</v>
      </c>
      <c r="I32" s="24" t="s">
        <v>18</v>
      </c>
      <c r="J32" s="69" t="s">
        <v>71</v>
      </c>
      <c r="K32" s="24" t="s">
        <v>116</v>
      </c>
      <c r="L32" s="25">
        <f>-1066885+140700</f>
        <v>-926185</v>
      </c>
      <c r="M32" s="25"/>
      <c r="N32" s="25"/>
      <c r="O32" s="12">
        <f t="shared" si="2"/>
        <v>-926185</v>
      </c>
    </row>
    <row r="33" spans="1:15" s="31" customFormat="1" ht="46.7" customHeight="1" x14ac:dyDescent="0.25">
      <c r="A33" s="26"/>
      <c r="B33" s="34"/>
      <c r="C33" s="26" t="s">
        <v>27</v>
      </c>
      <c r="D33" s="24" t="s">
        <v>72</v>
      </c>
      <c r="E33" s="24" t="s">
        <v>73</v>
      </c>
      <c r="F33" s="24" t="s">
        <v>74</v>
      </c>
      <c r="G33" s="26" t="s">
        <v>24</v>
      </c>
      <c r="H33" s="11" t="s">
        <v>142</v>
      </c>
      <c r="I33" s="22" t="s">
        <v>143</v>
      </c>
      <c r="J33" s="69" t="s">
        <v>87</v>
      </c>
      <c r="K33" s="100" t="s">
        <v>144</v>
      </c>
      <c r="L33" s="25">
        <v>0</v>
      </c>
      <c r="M33" s="25"/>
      <c r="N33" s="25">
        <v>-3000000</v>
      </c>
      <c r="O33" s="12">
        <f t="shared" si="2"/>
        <v>-3000000</v>
      </c>
    </row>
    <row r="34" spans="1:15" s="31" customFormat="1" ht="40.35" customHeight="1" x14ac:dyDescent="0.25">
      <c r="A34" s="26"/>
      <c r="B34" s="34" t="s">
        <v>77</v>
      </c>
      <c r="C34" s="26" t="s">
        <v>27</v>
      </c>
      <c r="D34" s="24" t="s">
        <v>72</v>
      </c>
      <c r="E34" s="24" t="s">
        <v>73</v>
      </c>
      <c r="F34" s="24" t="s">
        <v>74</v>
      </c>
      <c r="G34" s="26" t="s">
        <v>24</v>
      </c>
      <c r="H34" s="26" t="s">
        <v>18</v>
      </c>
      <c r="I34" s="24" t="s">
        <v>18</v>
      </c>
      <c r="J34" s="69" t="s">
        <v>71</v>
      </c>
      <c r="K34" s="24" t="s">
        <v>117</v>
      </c>
      <c r="L34" s="25">
        <v>-140700</v>
      </c>
      <c r="M34" s="25"/>
      <c r="N34" s="25"/>
      <c r="O34" s="12">
        <f t="shared" si="2"/>
        <v>-140700</v>
      </c>
    </row>
    <row r="35" spans="1:15" s="22" customFormat="1" ht="65.099999999999994" customHeight="1" x14ac:dyDescent="0.25">
      <c r="A35" s="70"/>
      <c r="B35" s="34" t="s">
        <v>47</v>
      </c>
      <c r="C35" s="26" t="s">
        <v>69</v>
      </c>
      <c r="D35" s="10" t="s">
        <v>70</v>
      </c>
      <c r="E35" s="10" t="s">
        <v>75</v>
      </c>
      <c r="F35" s="10" t="s">
        <v>76</v>
      </c>
      <c r="G35" s="11" t="s">
        <v>24</v>
      </c>
      <c r="H35" s="11"/>
      <c r="I35" s="10"/>
      <c r="J35" s="69" t="s">
        <v>71</v>
      </c>
      <c r="K35" s="10" t="s">
        <v>115</v>
      </c>
      <c r="L35" s="25">
        <v>-179000</v>
      </c>
      <c r="M35" s="25"/>
      <c r="N35" s="12"/>
      <c r="O35" s="12">
        <f t="shared" si="2"/>
        <v>-179000</v>
      </c>
    </row>
    <row r="36" spans="1:15" s="23" customFormat="1" ht="12.75" x14ac:dyDescent="0.25">
      <c r="A36" s="9" t="s">
        <v>48</v>
      </c>
      <c r="B36" s="36"/>
      <c r="C36" s="36"/>
      <c r="D36" s="37"/>
      <c r="E36" s="37"/>
      <c r="F36" s="37"/>
      <c r="G36" s="36"/>
      <c r="H36" s="36"/>
      <c r="I36" s="37"/>
      <c r="J36" s="36"/>
      <c r="K36" s="36"/>
      <c r="L36" s="38">
        <f>+SUBTOTAL(9,L32:L35)</f>
        <v>-1245885</v>
      </c>
      <c r="M36" s="38">
        <f t="shared" ref="M36:O36" si="4">+SUBTOTAL(9,M32:M35)</f>
        <v>0</v>
      </c>
      <c r="N36" s="38">
        <f t="shared" si="4"/>
        <v>-3000000</v>
      </c>
      <c r="O36" s="38">
        <f t="shared" si="4"/>
        <v>-4245885</v>
      </c>
    </row>
    <row r="37" spans="1:15" s="23" customFormat="1" ht="30.4" customHeight="1" x14ac:dyDescent="0.25">
      <c r="A37" s="24" t="s">
        <v>49</v>
      </c>
      <c r="B37" s="58" t="s">
        <v>50</v>
      </c>
      <c r="C37" s="11" t="s">
        <v>69</v>
      </c>
      <c r="D37" s="10" t="s">
        <v>70</v>
      </c>
      <c r="E37" s="10" t="s">
        <v>75</v>
      </c>
      <c r="F37" s="10" t="s">
        <v>76</v>
      </c>
      <c r="G37" s="22" t="s">
        <v>24</v>
      </c>
      <c r="H37" s="11"/>
      <c r="I37" s="10"/>
      <c r="J37" s="11" t="s">
        <v>71</v>
      </c>
      <c r="K37" s="10" t="s">
        <v>25</v>
      </c>
      <c r="L37" s="12">
        <v>-390000</v>
      </c>
      <c r="M37" s="12"/>
      <c r="N37" s="81"/>
      <c r="O37" s="12">
        <f t="shared" si="2"/>
        <v>-390000</v>
      </c>
    </row>
    <row r="38" spans="1:15" s="23" customFormat="1" x14ac:dyDescent="0.25">
      <c r="A38" s="104" t="s">
        <v>51</v>
      </c>
      <c r="B38" s="105"/>
      <c r="C38" s="106"/>
      <c r="D38" s="107"/>
      <c r="E38" s="20"/>
      <c r="F38" s="20"/>
      <c r="G38" s="36"/>
      <c r="H38" s="36"/>
      <c r="I38" s="37"/>
      <c r="J38" s="36"/>
      <c r="K38" s="36"/>
      <c r="L38" s="38">
        <f>+SUBTOTAL(9,L37)</f>
        <v>-390000</v>
      </c>
      <c r="M38" s="38">
        <f t="shared" ref="M38:O38" si="5">+SUBTOTAL(9,M37)</f>
        <v>0</v>
      </c>
      <c r="N38" s="38">
        <f t="shared" si="5"/>
        <v>0</v>
      </c>
      <c r="O38" s="38">
        <f t="shared" si="5"/>
        <v>-390000</v>
      </c>
    </row>
    <row r="39" spans="1:15" s="22" customFormat="1" ht="38.25" x14ac:dyDescent="0.25">
      <c r="A39" s="11" t="s">
        <v>52</v>
      </c>
      <c r="B39" s="58" t="s">
        <v>53</v>
      </c>
      <c r="C39" s="11" t="s">
        <v>35</v>
      </c>
      <c r="D39" s="10" t="s">
        <v>78</v>
      </c>
      <c r="E39" s="10" t="s">
        <v>79</v>
      </c>
      <c r="F39" s="10" t="s">
        <v>80</v>
      </c>
      <c r="G39" s="11" t="s">
        <v>24</v>
      </c>
      <c r="H39" s="11"/>
      <c r="I39" s="10"/>
      <c r="J39" s="11" t="s">
        <v>71</v>
      </c>
      <c r="K39" s="10" t="s">
        <v>25</v>
      </c>
      <c r="L39" s="25">
        <v>-360000</v>
      </c>
      <c r="M39" s="25"/>
      <c r="N39" s="12"/>
      <c r="O39" s="12">
        <f t="shared" si="2"/>
        <v>-360000</v>
      </c>
    </row>
    <row r="40" spans="1:15" s="23" customFormat="1" ht="12.75" x14ac:dyDescent="0.25">
      <c r="A40" s="36" t="s">
        <v>54</v>
      </c>
      <c r="B40" s="50"/>
      <c r="C40" s="36"/>
      <c r="D40" s="37"/>
      <c r="E40" s="37"/>
      <c r="F40" s="37"/>
      <c r="G40" s="36"/>
      <c r="H40" s="36"/>
      <c r="I40" s="37"/>
      <c r="J40" s="36"/>
      <c r="K40" s="36"/>
      <c r="L40" s="51">
        <f>+SUBTOTAL(9,L39)</f>
        <v>-360000</v>
      </c>
      <c r="M40" s="51">
        <f t="shared" ref="M40:O40" si="6">+SUBTOTAL(9,M39)</f>
        <v>0</v>
      </c>
      <c r="N40" s="51">
        <f t="shared" si="6"/>
        <v>0</v>
      </c>
      <c r="O40" s="51">
        <f t="shared" si="6"/>
        <v>-360000</v>
      </c>
    </row>
    <row r="41" spans="1:15" s="23" customFormat="1" ht="30" customHeight="1" x14ac:dyDescent="0.25">
      <c r="A41" s="26" t="s">
        <v>20</v>
      </c>
      <c r="B41" s="58" t="s">
        <v>21</v>
      </c>
      <c r="C41" s="11" t="s">
        <v>69</v>
      </c>
      <c r="D41" s="10" t="s">
        <v>70</v>
      </c>
      <c r="E41" s="10" t="s">
        <v>22</v>
      </c>
      <c r="F41" s="10" t="s">
        <v>23</v>
      </c>
      <c r="G41" s="11" t="s">
        <v>24</v>
      </c>
      <c r="H41" s="11"/>
      <c r="I41" s="10"/>
      <c r="J41" s="11" t="s">
        <v>63</v>
      </c>
      <c r="K41" s="10" t="s">
        <v>103</v>
      </c>
      <c r="L41" s="12">
        <v>-4049999.9998000003</v>
      </c>
      <c r="M41" s="12"/>
      <c r="N41" s="81"/>
      <c r="O41" s="12">
        <f t="shared" si="2"/>
        <v>-4049999.9998000003</v>
      </c>
    </row>
    <row r="42" spans="1:15" s="22" customFormat="1" ht="29.1" customHeight="1" x14ac:dyDescent="0.25">
      <c r="A42" s="46"/>
      <c r="B42" s="58" t="s">
        <v>21</v>
      </c>
      <c r="C42" s="11" t="s">
        <v>69</v>
      </c>
      <c r="D42" s="10" t="s">
        <v>70</v>
      </c>
      <c r="E42" s="10" t="s">
        <v>22</v>
      </c>
      <c r="F42" s="10" t="s">
        <v>23</v>
      </c>
      <c r="G42" s="11" t="s">
        <v>24</v>
      </c>
      <c r="H42" s="11"/>
      <c r="I42" s="10"/>
      <c r="J42" s="11" t="s">
        <v>71</v>
      </c>
      <c r="K42" s="10" t="s">
        <v>25</v>
      </c>
      <c r="L42" s="12">
        <v>-1000000</v>
      </c>
      <c r="M42" s="12"/>
      <c r="N42" s="12"/>
      <c r="O42" s="12">
        <f t="shared" si="2"/>
        <v>-1000000</v>
      </c>
    </row>
    <row r="43" spans="1:15" s="23" customFormat="1" ht="12.75" x14ac:dyDescent="0.25">
      <c r="A43" s="47" t="s">
        <v>26</v>
      </c>
      <c r="B43" s="44"/>
      <c r="C43" s="36"/>
      <c r="D43" s="37"/>
      <c r="E43" s="37"/>
      <c r="F43" s="37"/>
      <c r="G43" s="36"/>
      <c r="H43" s="36"/>
      <c r="I43" s="37"/>
      <c r="J43" s="36"/>
      <c r="K43" s="36"/>
      <c r="L43" s="38">
        <f>+SUBTOTAL(9,L41:L42)</f>
        <v>-5049999.9998000003</v>
      </c>
      <c r="M43" s="38">
        <f t="shared" ref="M43:O43" si="7">+SUBTOTAL(9,M41:M42)</f>
        <v>0</v>
      </c>
      <c r="N43" s="38">
        <f t="shared" si="7"/>
        <v>0</v>
      </c>
      <c r="O43" s="38">
        <f t="shared" si="7"/>
        <v>-5049999.9998000003</v>
      </c>
    </row>
    <row r="44" spans="1:15" s="23" customFormat="1" ht="38.25" x14ac:dyDescent="0.25">
      <c r="A44" s="89" t="s">
        <v>119</v>
      </c>
      <c r="B44" s="92" t="s">
        <v>120</v>
      </c>
      <c r="C44" s="11" t="s">
        <v>27</v>
      </c>
      <c r="D44" s="24" t="s">
        <v>72</v>
      </c>
      <c r="E44" s="22" t="s">
        <v>73</v>
      </c>
      <c r="F44" s="10" t="s">
        <v>74</v>
      </c>
      <c r="G44" s="11" t="s">
        <v>24</v>
      </c>
      <c r="H44" s="85"/>
      <c r="I44" s="85"/>
      <c r="J44" s="26" t="s">
        <v>63</v>
      </c>
      <c r="K44" s="10" t="s">
        <v>122</v>
      </c>
      <c r="L44" s="12">
        <v>0</v>
      </c>
      <c r="M44" s="12"/>
      <c r="N44" s="12">
        <v>-4000000</v>
      </c>
      <c r="O44" s="12">
        <f t="shared" si="2"/>
        <v>-4000000</v>
      </c>
    </row>
    <row r="45" spans="1:15" s="23" customFormat="1" ht="12.75" x14ac:dyDescent="0.25">
      <c r="A45" s="90" t="s">
        <v>121</v>
      </c>
      <c r="B45" s="91"/>
      <c r="C45" s="36"/>
      <c r="D45" s="37"/>
      <c r="E45" s="37"/>
      <c r="F45" s="37"/>
      <c r="G45" s="36"/>
      <c r="H45" s="36"/>
      <c r="I45" s="36"/>
      <c r="J45" s="36"/>
      <c r="K45" s="36"/>
      <c r="L45" s="38">
        <f>+SUBTOTAL(9,L44)</f>
        <v>0</v>
      </c>
      <c r="M45" s="38">
        <f t="shared" ref="M45:O45" si="8">+SUBTOTAL(9,M44)</f>
        <v>0</v>
      </c>
      <c r="N45" s="38">
        <f t="shared" si="8"/>
        <v>-4000000</v>
      </c>
      <c r="O45" s="38">
        <f t="shared" si="8"/>
        <v>-4000000</v>
      </c>
    </row>
    <row r="46" spans="1:15" s="23" customFormat="1" ht="40.35" customHeight="1" x14ac:dyDescent="0.25">
      <c r="A46" s="11" t="s">
        <v>123</v>
      </c>
      <c r="B46" s="95" t="s">
        <v>125</v>
      </c>
      <c r="C46" s="11" t="s">
        <v>27</v>
      </c>
      <c r="D46" s="24" t="s">
        <v>72</v>
      </c>
      <c r="E46" s="22" t="s">
        <v>73</v>
      </c>
      <c r="F46" s="10" t="s">
        <v>74</v>
      </c>
      <c r="G46" s="11" t="s">
        <v>24</v>
      </c>
      <c r="H46" s="85"/>
      <c r="I46" s="85"/>
      <c r="J46" s="26" t="s">
        <v>63</v>
      </c>
      <c r="K46" s="10" t="s">
        <v>126</v>
      </c>
      <c r="L46" s="12">
        <v>0</v>
      </c>
      <c r="M46" s="12"/>
      <c r="N46" s="12">
        <v>-900000</v>
      </c>
      <c r="O46" s="12">
        <f t="shared" si="2"/>
        <v>-900000</v>
      </c>
    </row>
    <row r="47" spans="1:15" s="23" customFormat="1" ht="12.75" x14ac:dyDescent="0.25">
      <c r="A47" s="94" t="s">
        <v>124</v>
      </c>
      <c r="B47" s="91"/>
      <c r="C47" s="36"/>
      <c r="D47" s="37"/>
      <c r="E47" s="37"/>
      <c r="F47" s="37"/>
      <c r="G47" s="36"/>
      <c r="H47" s="36"/>
      <c r="I47" s="36"/>
      <c r="J47" s="36"/>
      <c r="K47" s="36"/>
      <c r="L47" s="38">
        <f>+SUBTOTAL(9,L46)</f>
        <v>0</v>
      </c>
      <c r="M47" s="38">
        <f t="shared" ref="M47:O47" si="9">+SUBTOTAL(9,M46)</f>
        <v>0</v>
      </c>
      <c r="N47" s="38">
        <f t="shared" si="9"/>
        <v>-900000</v>
      </c>
      <c r="O47" s="38">
        <f t="shared" si="9"/>
        <v>-900000</v>
      </c>
    </row>
    <row r="48" spans="1:15" s="22" customFormat="1" ht="51" x14ac:dyDescent="0.25">
      <c r="A48" s="11" t="s">
        <v>127</v>
      </c>
      <c r="B48" s="96" t="s">
        <v>129</v>
      </c>
      <c r="C48" s="11" t="s">
        <v>27</v>
      </c>
      <c r="D48" s="24" t="s">
        <v>72</v>
      </c>
      <c r="E48" s="22" t="s">
        <v>73</v>
      </c>
      <c r="F48" s="10" t="s">
        <v>74</v>
      </c>
      <c r="G48" s="11" t="s">
        <v>24</v>
      </c>
      <c r="H48" s="85"/>
      <c r="I48" s="85"/>
      <c r="J48" s="26" t="s">
        <v>63</v>
      </c>
      <c r="K48" s="24" t="s">
        <v>130</v>
      </c>
      <c r="L48" s="12">
        <v>0</v>
      </c>
      <c r="M48" s="12"/>
      <c r="N48" s="12">
        <v>-270000</v>
      </c>
      <c r="O48" s="12">
        <f t="shared" si="2"/>
        <v>-270000</v>
      </c>
    </row>
    <row r="49" spans="1:15" s="23" customFormat="1" ht="12.75" x14ac:dyDescent="0.25">
      <c r="A49" s="63" t="s">
        <v>128</v>
      </c>
      <c r="B49" s="94"/>
      <c r="C49" s="36"/>
      <c r="D49" s="37"/>
      <c r="E49" s="37"/>
      <c r="F49" s="37"/>
      <c r="G49" s="36"/>
      <c r="H49" s="36"/>
      <c r="I49" s="36"/>
      <c r="J49" s="36"/>
      <c r="K49" s="36"/>
      <c r="L49" s="38">
        <f>+SUBTOTAL(9,L48)</f>
        <v>0</v>
      </c>
      <c r="M49" s="38">
        <f t="shared" ref="M49:O49" si="10">+SUBTOTAL(9,M48)</f>
        <v>0</v>
      </c>
      <c r="N49" s="38">
        <f t="shared" si="10"/>
        <v>-270000</v>
      </c>
      <c r="O49" s="38">
        <f t="shared" si="10"/>
        <v>-270000</v>
      </c>
    </row>
    <row r="50" spans="1:15" s="23" customFormat="1" ht="38.25" x14ac:dyDescent="0.25">
      <c r="A50" s="97" t="s">
        <v>131</v>
      </c>
      <c r="B50" s="96" t="s">
        <v>132</v>
      </c>
      <c r="C50" s="11" t="s">
        <v>27</v>
      </c>
      <c r="D50" s="24" t="s">
        <v>72</v>
      </c>
      <c r="E50" s="11" t="s">
        <v>73</v>
      </c>
      <c r="F50" s="10" t="s">
        <v>74</v>
      </c>
      <c r="G50" s="11" t="s">
        <v>24</v>
      </c>
      <c r="H50" s="85"/>
      <c r="I50" s="85"/>
      <c r="J50" s="26" t="s">
        <v>63</v>
      </c>
      <c r="K50" s="24" t="s">
        <v>135</v>
      </c>
      <c r="L50" s="12">
        <v>0</v>
      </c>
      <c r="M50" s="12"/>
      <c r="N50" s="12">
        <v>-609000</v>
      </c>
      <c r="O50" s="12">
        <f t="shared" si="2"/>
        <v>-609000</v>
      </c>
    </row>
    <row r="51" spans="1:15" s="23" customFormat="1" ht="51" x14ac:dyDescent="0.25">
      <c r="A51" s="85"/>
      <c r="B51" s="96" t="s">
        <v>133</v>
      </c>
      <c r="C51" s="11" t="s">
        <v>27</v>
      </c>
      <c r="D51" s="24" t="s">
        <v>72</v>
      </c>
      <c r="E51" s="11" t="s">
        <v>73</v>
      </c>
      <c r="F51" s="10" t="s">
        <v>74</v>
      </c>
      <c r="G51" s="11" t="s">
        <v>24</v>
      </c>
      <c r="H51" s="85"/>
      <c r="I51" s="85"/>
      <c r="J51" s="26" t="s">
        <v>63</v>
      </c>
      <c r="K51" s="24" t="s">
        <v>130</v>
      </c>
      <c r="L51" s="12">
        <v>0</v>
      </c>
      <c r="M51" s="12"/>
      <c r="N51" s="12">
        <f>-630500+75000</f>
        <v>-555500</v>
      </c>
      <c r="O51" s="12">
        <f t="shared" si="2"/>
        <v>-555500</v>
      </c>
    </row>
    <row r="52" spans="1:15" s="23" customFormat="1" ht="12.75" x14ac:dyDescent="0.25">
      <c r="A52" s="9" t="s">
        <v>134</v>
      </c>
      <c r="B52" s="94"/>
      <c r="C52" s="36"/>
      <c r="D52" s="37"/>
      <c r="E52" s="37"/>
      <c r="F52" s="37"/>
      <c r="G52" s="36"/>
      <c r="H52" s="36"/>
      <c r="I52" s="36"/>
      <c r="J52" s="36"/>
      <c r="K52" s="36"/>
      <c r="L52" s="38">
        <f>+SUBTOTAL(9,L50:L51)</f>
        <v>0</v>
      </c>
      <c r="M52" s="38">
        <f t="shared" ref="M52:O52" si="11">+SUBTOTAL(9,M50:M51)</f>
        <v>0</v>
      </c>
      <c r="N52" s="38">
        <f t="shared" si="11"/>
        <v>-1164500</v>
      </c>
      <c r="O52" s="38">
        <f t="shared" si="11"/>
        <v>-1164500</v>
      </c>
    </row>
    <row r="53" spans="1:15" s="23" customFormat="1" ht="51" x14ac:dyDescent="0.25">
      <c r="A53" s="11" t="s">
        <v>136</v>
      </c>
      <c r="B53" s="96" t="s">
        <v>133</v>
      </c>
      <c r="C53" s="11" t="s">
        <v>27</v>
      </c>
      <c r="D53" s="24" t="s">
        <v>72</v>
      </c>
      <c r="E53" s="11" t="s">
        <v>73</v>
      </c>
      <c r="F53" s="10" t="s">
        <v>74</v>
      </c>
      <c r="G53" s="11" t="s">
        <v>24</v>
      </c>
      <c r="H53" s="85"/>
      <c r="I53" s="85"/>
      <c r="J53" s="26" t="s">
        <v>63</v>
      </c>
      <c r="K53" s="24" t="s">
        <v>130</v>
      </c>
      <c r="L53" s="12">
        <v>0</v>
      </c>
      <c r="M53" s="12"/>
      <c r="N53" s="12">
        <v>-75000</v>
      </c>
      <c r="O53" s="12">
        <f t="shared" si="2"/>
        <v>-75000</v>
      </c>
    </row>
    <row r="54" spans="1:15" s="23" customFormat="1" ht="12.75" x14ac:dyDescent="0.2">
      <c r="A54" s="98" t="s">
        <v>137</v>
      </c>
      <c r="B54" s="94"/>
      <c r="C54" s="36"/>
      <c r="D54" s="37"/>
      <c r="E54" s="37"/>
      <c r="F54" s="37"/>
      <c r="G54" s="36"/>
      <c r="H54" s="36"/>
      <c r="I54" s="36"/>
      <c r="J54" s="36"/>
      <c r="K54" s="36"/>
      <c r="L54" s="38">
        <f>+SUBTOTAL(9,L53)</f>
        <v>0</v>
      </c>
      <c r="M54" s="38">
        <f t="shared" ref="M54:O54" si="12">+SUBTOTAL(9,M53)</f>
        <v>0</v>
      </c>
      <c r="N54" s="38">
        <f t="shared" si="12"/>
        <v>-75000</v>
      </c>
      <c r="O54" s="38">
        <f t="shared" si="12"/>
        <v>-75000</v>
      </c>
    </row>
    <row r="55" spans="1:15" s="23" customFormat="1" ht="42.4" customHeight="1" x14ac:dyDescent="0.25">
      <c r="A55" s="83"/>
      <c r="B55" s="84"/>
      <c r="C55" s="11" t="s">
        <v>35</v>
      </c>
      <c r="D55" s="10" t="s">
        <v>78</v>
      </c>
      <c r="E55" s="10"/>
      <c r="F55" s="10"/>
      <c r="G55" s="11" t="s">
        <v>24</v>
      </c>
      <c r="H55" s="85"/>
      <c r="I55" s="86"/>
      <c r="J55" s="11" t="s">
        <v>63</v>
      </c>
      <c r="K55" s="24" t="s">
        <v>118</v>
      </c>
      <c r="L55" s="12">
        <f>-138000-1500000</f>
        <v>-1638000</v>
      </c>
      <c r="M55" s="12"/>
      <c r="N55" s="81"/>
      <c r="O55" s="12">
        <f t="shared" si="2"/>
        <v>-1638000</v>
      </c>
    </row>
    <row r="56" spans="1:15" s="23" customFormat="1" ht="12.75" x14ac:dyDescent="0.25">
      <c r="A56" s="87" t="s">
        <v>111</v>
      </c>
      <c r="B56" s="88"/>
      <c r="C56" s="63"/>
      <c r="D56" s="66"/>
      <c r="E56" s="66"/>
      <c r="F56" s="66"/>
      <c r="G56" s="63"/>
      <c r="H56" s="63"/>
      <c r="I56" s="66"/>
      <c r="J56" s="63"/>
      <c r="K56" s="63"/>
      <c r="L56" s="68">
        <f>+SUBTOTAL(9,L55)</f>
        <v>-1638000</v>
      </c>
      <c r="M56" s="68">
        <f t="shared" ref="M56:O56" si="13">+SUBTOTAL(9,M55)</f>
        <v>0</v>
      </c>
      <c r="N56" s="68">
        <f t="shared" si="13"/>
        <v>0</v>
      </c>
      <c r="O56" s="68">
        <f t="shared" si="13"/>
        <v>-1638000</v>
      </c>
    </row>
    <row r="57" spans="1:15" s="31" customFormat="1" ht="48" x14ac:dyDescent="0.25">
      <c r="A57" s="26"/>
      <c r="B57" s="61" t="s">
        <v>95</v>
      </c>
      <c r="C57" s="26" t="s">
        <v>27</v>
      </c>
      <c r="D57" s="24" t="s">
        <v>72</v>
      </c>
      <c r="E57" s="24" t="s">
        <v>73</v>
      </c>
      <c r="F57" s="24" t="s">
        <v>74</v>
      </c>
      <c r="G57" s="26" t="s">
        <v>24</v>
      </c>
      <c r="H57" s="26"/>
      <c r="I57" s="24"/>
      <c r="J57" s="26" t="s">
        <v>63</v>
      </c>
      <c r="K57" s="24" t="s">
        <v>118</v>
      </c>
      <c r="L57" s="93">
        <f>-7756718.099876-500000-36127947-14920000+138000-1059923-138288</f>
        <v>-60364876.099876001</v>
      </c>
      <c r="M57" s="93"/>
      <c r="N57" s="25">
        <f>4000000+900000+270000+609000+555500+75000+50826233</f>
        <v>57235733</v>
      </c>
      <c r="O57" s="12">
        <f t="shared" si="2"/>
        <v>-3129143.0998760015</v>
      </c>
    </row>
    <row r="58" spans="1:15" s="22" customFormat="1" ht="51" x14ac:dyDescent="0.25">
      <c r="A58" s="11"/>
      <c r="B58" s="58" t="s">
        <v>28</v>
      </c>
      <c r="C58" s="60" t="s">
        <v>29</v>
      </c>
      <c r="D58" s="10" t="s">
        <v>30</v>
      </c>
      <c r="E58" s="10" t="s">
        <v>93</v>
      </c>
      <c r="F58" s="10" t="s">
        <v>94</v>
      </c>
      <c r="G58" s="55" t="s">
        <v>24</v>
      </c>
      <c r="H58" s="11"/>
      <c r="I58" s="10"/>
      <c r="J58" s="26" t="s">
        <v>63</v>
      </c>
      <c r="K58" s="24" t="s">
        <v>118</v>
      </c>
      <c r="L58" s="30">
        <v>-138288.44998800001</v>
      </c>
      <c r="M58" s="30"/>
      <c r="N58" s="12"/>
      <c r="O58" s="12">
        <f t="shared" si="2"/>
        <v>-138288.44998800001</v>
      </c>
    </row>
    <row r="59" spans="1:15" s="23" customFormat="1" ht="12.75" x14ac:dyDescent="0.25">
      <c r="A59" s="9" t="s">
        <v>31</v>
      </c>
      <c r="B59" s="48"/>
      <c r="C59" s="48"/>
      <c r="D59" s="37"/>
      <c r="E59" s="37"/>
      <c r="F59" s="37"/>
      <c r="G59" s="36"/>
      <c r="H59" s="36"/>
      <c r="I59" s="37"/>
      <c r="J59" s="36"/>
      <c r="K59" s="36"/>
      <c r="L59" s="38">
        <f>+SUBTOTAL(9,L57:L58)</f>
        <v>-60503164.549864002</v>
      </c>
      <c r="M59" s="38">
        <f t="shared" ref="M59:O59" si="14">+SUBTOTAL(9,M57:M58)</f>
        <v>0</v>
      </c>
      <c r="N59" s="38">
        <f t="shared" si="14"/>
        <v>57235733</v>
      </c>
      <c r="O59" s="38">
        <f t="shared" si="14"/>
        <v>-3267431.5498640016</v>
      </c>
    </row>
    <row r="60" spans="1:15" s="19" customFormat="1" x14ac:dyDescent="0.25">
      <c r="B60" s="52"/>
      <c r="D60" s="53"/>
      <c r="E60" s="53"/>
      <c r="F60" s="53"/>
      <c r="I60" s="53"/>
      <c r="N60" s="78"/>
    </row>
  </sheetData>
  <autoFilter ref="A15:O59" xr:uid="{F306C644-7FEA-4119-BB74-5BC0BECC31FA}"/>
  <mergeCells count="4">
    <mergeCell ref="I9:K9"/>
    <mergeCell ref="A5:G6"/>
    <mergeCell ref="A38:D38"/>
    <mergeCell ref="K2:O3"/>
  </mergeCells>
  <phoneticPr fontId="18" type="noConversion"/>
  <pageMargins left="0.31496062992125984" right="0.31496062992125984" top="0.27559055118110237" bottom="0.51181102362204722" header="0.31496062992125984" footer="0.31496062992125984"/>
  <pageSetup paperSize="9" scale="79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7122B-BD5B-469A-BC00-7C8D2E868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43732D-B288-43BA-9D18-D97B062690AB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e6f0d7a7-7317-4211-b722-0acf268d17fd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9b483750-598d-46a0-877d-052f8f804d2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E36848-9FB3-492B-967C-0C535CB697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7 MKM_toetused</vt:lpstr>
      <vt:lpstr>'Lisa 7 MKM_toetused'!Prindiala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 Fazijev</dc:creator>
  <cp:keywords/>
  <dc:description/>
  <cp:lastModifiedBy>Rita Juhanni - MKM</cp:lastModifiedBy>
  <cp:revision/>
  <dcterms:created xsi:type="dcterms:W3CDTF">2022-12-30T15:09:08Z</dcterms:created>
  <dcterms:modified xsi:type="dcterms:W3CDTF">2025-01-28T09:35:51Z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687200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2024-06-20T17:03:28Z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8df56165-8e34-48c5-93f4-a672f43d9cfb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